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<sst xmlns="http://schemas.openxmlformats.org/spreadsheetml/2006/main" count="1219" uniqueCount="248">
  <si>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</si>
  <si>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</si>
  <si>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</si>
  <si>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</si>
  <si>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</si>
  <si>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</si>
  <si>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</si>
  <si>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</si>
  <si>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</si>
  <si>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</si>
  <si>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</si>
  <si>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</si>
  <si>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</si>
  <si>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</si>
  <si>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</si>
  <si>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</si>
  <si>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</si>
  <si>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</si>
  <si>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</si>
  <si>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</si>
  <si>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</si>
  <si>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</si>
  <si>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</si>
  <si>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</si>
  <si>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</si>
  <si>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</si>
  <si>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</si>
  <si>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</si>
  <si>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</si>
  <si>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</si>
  <si>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</si>
  <si>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</si>
  <si>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</si>
  <si>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</si>
  <si>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</si>
  <si>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</si>
  <si>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</si>
  <si>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</si>
  <si>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</si>
  <si>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</si>
  <si>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</si>
  <si>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</si>
  <si>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</si>
  <si>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</si>
  <si>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</si>
  <si>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</si>
  <si>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</si>
  <si>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</si>
  <si>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</si>
  <si>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</si>
  <si>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</si>
  <si>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</si>
  <si>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</si>
  <si>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</si>
  <si>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</si>
  <si>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</si>
  <si>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</si>
  <si>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</si>
  <si>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</si>
  <si>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</si>
  <si>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</si>
  <si>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</si>
  <si>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</si>
  <si>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</si>
  <si>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</si>
  <si>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</si>
  <si>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</si>
  <si>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</si>
  <si>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</si>
  <si>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</si>
  <si>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</si>
  <si>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</si>
  <si>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</si>
  <si>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</si>
  <si>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</si>
  <si>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</si>
  <si>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</si>
  <si>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</si>
  <si>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</si>
  <si>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</si>
  <si>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</si>
  <si>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</si>
  <si>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</si>
  <si>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</si>
  <si>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</si>
  <si>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</si>
  <si>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</si>
  <si>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</si>
  <si>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</si>
  <si>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</si>
  <si>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</si>
  <si>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</si>
  <si>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</si>
  <si>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</si>
  <si>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</si>
  <si>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</si>
  <si>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</si>
  <si>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</si>
  <si>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</si>
  <si>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</si>
  <si>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</si>
  <si>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</si>
  <si>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</si>
  <si>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</si>
  <si>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</si>
  <si>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</si>
  <si>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</si>
  <si>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</si>
  <si>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</si>
  <si>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</si>
  <si>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</si>
  <si>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</si>
  <si>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</si>
  <si>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</si>
  <si>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</si>
  <si>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</si>
  <si>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</si>
  <si>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</si>
  <si>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</si>
  <si>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</si>
  <si>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</si>
  <si>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</si>
  <si>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</si>
  <si>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</si>
  <si>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</si>
  <si>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</si>
  <si>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</si>
  <si>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</si>
  <si>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</si>
  <si>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</si>
  <si>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</si>
  <si>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</si>
  <si>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</si>
  <si>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</si>
  <si>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</si>
  <si>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</si>
  <si>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</si>
  <si>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</si>
  <si>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</si>
  <si>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</si>
  <si>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</si>
  <si>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</si>
  <si>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</si>
  <si>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</si>
  <si>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</si>
  <si>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</si>
  <si>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</si>
  <si>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</si>
  <si>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</si>
  <si>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</si>
  <si>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</si>
  <si>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</si>
  <si>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</si>
  <si>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</si>
  <si>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</si>
  <si>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</si>
  <si>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</si>
  <si>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</si>
  <si>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</si>
  <si>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</si>
  <si>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</si>
  <si>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</si>
  <si>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</si>
  <si>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</si>
  <si>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</si>
  <si>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</si>
  <si>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</si>
  <si>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</si>
  <si>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</si>
  <si>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</si>
  <si>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</si>
  <si>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</si>
  <si>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</si>
  <si>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</si>
  <si>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</si>
  <si>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</si>
  <si>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</si>
  <si>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</si>
  <si>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</si>
  <si>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</si>
  <si>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</si>
  <si>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</si>
  <si>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</si>
  <si>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</si>
  <si>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</si>
  <si>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</si>
  <si>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</si>
  <si>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</si>
  <si>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</si>
  <si>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</si>
  <si>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</si>
  <si>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</si>
  <si>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</si>
  <si>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</si>
  <si>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</si>
  <si>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</si>
  <si>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</si>
  <si>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</si>
  <si>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</si>
  <si>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</si>
  <si>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</si>
  <si>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</si>
  <si>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</si>
  <si>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</si>
  <si>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</si>
  <si>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</si>
  <si>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</si>
  <si>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</si>
  <si>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</si>
  <si>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</si>
  <si>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</si>
  <si>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</si>
  <si>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</si>
  <si>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</si>
  <si>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</si>
  <si>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</si>
  <si>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</si>
  <si>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</si>
  <si>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</si>
  <si>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</si>
  <si>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</si>
  <si>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</si>
  <si>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</si>
  <si>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</si>
  <si>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</si>
  <si>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</si>
  <si>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</si>
  <si>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</si>
  <si>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</si>
  <si>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</si>
  <si>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</si>
  <si>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</si>
  <si>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</si>
  <si>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</si>
  <si>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</si>
  <si>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</si>
  <si>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</si>
  <si>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</si>
  <si>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</si>
  <si>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</si>
  <si>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</si>
  <si>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</si>
  <si>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</si>
  <si>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</si>
  <si>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</si>
  <si>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</si>
  <si>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</si>
  <si>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19.06.14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</si>
</sst>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119509565.46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105684343.5</v>
          </cell>
        </row>
      </sheetData>
      <sheetData sheetId="13">
        <row r="52">
          <cell r="B52">
            <v>32862574.29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247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5"/>
      <c r="L5" s="166"/>
      <c r="M5" s="151" t="s">
        <v>241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207255.63</v>
      </c>
      <c r="G8" s="22">
        <f aca="true" t="shared" si="0" ref="G8:G30">F8-E8</f>
        <v>-26010.899999999994</v>
      </c>
      <c r="H8" s="51">
        <f>F8/E8*100</f>
        <v>88.84927897714259</v>
      </c>
      <c r="I8" s="36">
        <f aca="true" t="shared" si="1" ref="I8:I17">F8-D8</f>
        <v>-281220.67</v>
      </c>
      <c r="J8" s="36">
        <f aca="true" t="shared" si="2" ref="J8:J14">F8/D8*100</f>
        <v>42.429004232139825</v>
      </c>
      <c r="K8" s="36">
        <f>F8-227938.8</f>
        <v>-20683.169999999984</v>
      </c>
      <c r="L8" s="136">
        <f>F8/227938.8</f>
        <v>0.9092599855750755</v>
      </c>
      <c r="M8" s="22">
        <f>M10+M19+M33+M56+M68+M30</f>
        <v>41595.47</v>
      </c>
      <c r="N8" s="22">
        <f>N10+N19+N33+N56+N68+N30</f>
        <v>22450.43000000002</v>
      </c>
      <c r="O8" s="36">
        <f aca="true" t="shared" si="3" ref="O8:O71">N8-M8</f>
        <v>-19145.039999999983</v>
      </c>
      <c r="P8" s="36">
        <f>F8/M8*100</f>
        <v>498.2649072122517</v>
      </c>
      <c r="Q8" s="36">
        <f>N8-40804</f>
        <v>-18353.56999999998</v>
      </c>
      <c r="R8" s="134">
        <f>N8/40804</f>
        <v>0.550201695912166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169136.14</v>
      </c>
      <c r="G9" s="22">
        <f t="shared" si="0"/>
        <v>169136.14</v>
      </c>
      <c r="H9" s="20"/>
      <c r="I9" s="56">
        <f t="shared" si="1"/>
        <v>-217877.06</v>
      </c>
      <c r="J9" s="56">
        <f t="shared" si="2"/>
        <v>43.70293829771181</v>
      </c>
      <c r="K9" s="56"/>
      <c r="L9" s="135"/>
      <c r="M9" s="20">
        <f>M10+M17</f>
        <v>34434.5</v>
      </c>
      <c r="N9" s="20">
        <f>N10+N17</f>
        <v>20375.99000000002</v>
      </c>
      <c r="O9" s="36">
        <f t="shared" si="3"/>
        <v>-14058.50999999998</v>
      </c>
      <c r="P9" s="56">
        <f>F9/M9*100</f>
        <v>491.1822155106071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169136.14</v>
      </c>
      <c r="G10" s="49">
        <f t="shared" si="0"/>
        <v>-21410.159999999974</v>
      </c>
      <c r="H10" s="40">
        <f aca="true" t="shared" si="4" ref="H10:H17">F10/E10*100</f>
        <v>88.76380176366585</v>
      </c>
      <c r="I10" s="56">
        <f t="shared" si="1"/>
        <v>-217877.06</v>
      </c>
      <c r="J10" s="56">
        <f t="shared" si="2"/>
        <v>43.70293829771181</v>
      </c>
      <c r="K10" s="141">
        <f>F10-179133.7</f>
        <v>-9997.559999999998</v>
      </c>
      <c r="L10" s="142">
        <f>F10/179133.7</f>
        <v>0.9441893959651366</v>
      </c>
      <c r="M10" s="40">
        <f>E10-травень!E10</f>
        <v>34434.5</v>
      </c>
      <c r="N10" s="40">
        <f>F10-травень!F10</f>
        <v>20375.99000000002</v>
      </c>
      <c r="O10" s="53">
        <f t="shared" si="3"/>
        <v>-14058.50999999998</v>
      </c>
      <c r="P10" s="56">
        <f aca="true" t="shared" si="5" ref="P10:P17">N10/M10*100</f>
        <v>59.17318387082729</v>
      </c>
      <c r="Q10" s="141">
        <f>N10-33294.7</f>
        <v>-12918.709999999977</v>
      </c>
      <c r="R10" s="142">
        <f>N10/33294.7</f>
        <v>0.6119889952454902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34564.52</v>
      </c>
      <c r="G33" s="49">
        <f aca="true" t="shared" si="14" ref="G33:G72">F33-E33</f>
        <v>-3716.7100000000064</v>
      </c>
      <c r="H33" s="40">
        <f aca="true" t="shared" si="15" ref="H33:H67">F33/E33*100</f>
        <v>90.29103819286892</v>
      </c>
      <c r="I33" s="56">
        <f>F33-D33</f>
        <v>-59001.48</v>
      </c>
      <c r="J33" s="56">
        <f aca="true" t="shared" si="16" ref="J33:J72">F33/D33*100</f>
        <v>36.941324840219735</v>
      </c>
      <c r="K33" s="141">
        <f>F33-39969.9</f>
        <v>-5405.380000000005</v>
      </c>
      <c r="L33" s="142">
        <f>F33/39969.9</f>
        <v>0.8647637347103695</v>
      </c>
      <c r="M33" s="40">
        <f>E33-травень!E33</f>
        <v>6540.770000000004</v>
      </c>
      <c r="N33" s="40">
        <f>F33-травень!F33</f>
        <v>1860.0099999999984</v>
      </c>
      <c r="O33" s="53">
        <f t="shared" si="3"/>
        <v>-4680.760000000006</v>
      </c>
      <c r="P33" s="56">
        <f aca="true" t="shared" si="17" ref="P33:P67">N33/M33*100</f>
        <v>28.437171770296114</v>
      </c>
      <c r="Q33" s="141">
        <f>N33-6504.1</f>
        <v>-4644.090000000002</v>
      </c>
      <c r="R33" s="142">
        <f>N33/6504.1</f>
        <v>0.2859750003843727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26086.58</v>
      </c>
      <c r="G55" s="144">
        <f t="shared" si="14"/>
        <v>-2244.3499999999985</v>
      </c>
      <c r="H55" s="146">
        <f t="shared" si="15"/>
        <v>92.07809274174905</v>
      </c>
      <c r="I55" s="145">
        <f t="shared" si="18"/>
        <v>-44179.42</v>
      </c>
      <c r="J55" s="145">
        <f t="shared" si="16"/>
        <v>37.125466086016004</v>
      </c>
      <c r="K55" s="148">
        <f>F55-28815.15</f>
        <v>-2728.5699999999997</v>
      </c>
      <c r="L55" s="149">
        <f>F55/28815.15</f>
        <v>0.9053077981547901</v>
      </c>
      <c r="M55" s="40">
        <f>E55-травень!E55</f>
        <v>4780.77</v>
      </c>
      <c r="N55" s="40">
        <f>F55-травень!F55</f>
        <v>1548.4000000000015</v>
      </c>
      <c r="O55" s="148">
        <f t="shared" si="3"/>
        <v>-3232.369999999999</v>
      </c>
      <c r="P55" s="148">
        <f t="shared" si="17"/>
        <v>32.388088111329374</v>
      </c>
      <c r="Q55" s="163">
        <f>N55-4583</f>
        <v>-3034.5999999999985</v>
      </c>
      <c r="R55" s="164">
        <f>N55/4583</f>
        <v>0.337857298712634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0.23+3244.52</f>
        <v>3244.75</v>
      </c>
      <c r="G56" s="49">
        <f t="shared" si="14"/>
        <v>-153.55000000000018</v>
      </c>
      <c r="H56" s="40">
        <f t="shared" si="15"/>
        <v>95.48156431156755</v>
      </c>
      <c r="I56" s="56">
        <f t="shared" si="18"/>
        <v>-3615.25</v>
      </c>
      <c r="J56" s="56">
        <f t="shared" si="16"/>
        <v>47.29956268221574</v>
      </c>
      <c r="K56" s="56">
        <f>F56-3189.3</f>
        <v>55.44999999999982</v>
      </c>
      <c r="L56" s="135">
        <f>F56/3189.3</f>
        <v>1.0173862603079045</v>
      </c>
      <c r="M56" s="40">
        <f>E56-травень!E56</f>
        <v>609.2000000000003</v>
      </c>
      <c r="N56" s="40">
        <f>F56-травень!F56</f>
        <v>553.4299999999998</v>
      </c>
      <c r="O56" s="53">
        <f t="shared" si="3"/>
        <v>-55.77000000000044</v>
      </c>
      <c r="P56" s="56">
        <f t="shared" si="17"/>
        <v>90.84537097833217</v>
      </c>
      <c r="Q56" s="56">
        <f>N56-539.8</f>
        <v>13.629999999999882</v>
      </c>
      <c r="R56" s="135">
        <f>N56/539.8</f>
        <v>1.0252500926268986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6269.119999999999</v>
      </c>
      <c r="G74" s="50">
        <f aca="true" t="shared" si="24" ref="G74:G92">F74-E74</f>
        <v>-1159.380000000001</v>
      </c>
      <c r="H74" s="51">
        <f aca="true" t="shared" si="25" ref="H74:H87">F74/E74*100</f>
        <v>84.39281146934104</v>
      </c>
      <c r="I74" s="36">
        <f aca="true" t="shared" si="26" ref="I74:I92">F74-D74</f>
        <v>-12089.18</v>
      </c>
      <c r="J74" s="36">
        <f aca="true" t="shared" si="27" ref="J74:J92">F74/D74*100</f>
        <v>34.14869568533034</v>
      </c>
      <c r="K74" s="36">
        <f>F74-9149.2</f>
        <v>-2880.0800000000017</v>
      </c>
      <c r="L74" s="136">
        <f>F74/9149.2</f>
        <v>0.685209635815153</v>
      </c>
      <c r="M74" s="22">
        <f>M77+M86+M88+M89+M94+M95+M96+M97+M99+M87+M103</f>
        <v>1500.5</v>
      </c>
      <c r="N74" s="22">
        <f>N77+N86+N88+N89+N94+N95+N96+N97+N99+N32+N103+N87</f>
        <v>920.8299999999997</v>
      </c>
      <c r="O74" s="55">
        <f aca="true" t="shared" si="28" ref="O74:O92">N74-M74</f>
        <v>-579.6700000000003</v>
      </c>
      <c r="P74" s="36">
        <f>N74/M74*100</f>
        <v>61.36821059646782</v>
      </c>
      <c r="Q74" s="36">
        <f>N74-1610.7</f>
        <v>-689.8700000000003</v>
      </c>
      <c r="R74" s="136">
        <f>N74/1610.7</f>
        <v>0.5716955361023156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55.8</v>
      </c>
      <c r="G89" s="49">
        <f t="shared" si="24"/>
        <v>-28.200000000000003</v>
      </c>
      <c r="H89" s="40">
        <f>F89/E89*100</f>
        <v>66.42857142857143</v>
      </c>
      <c r="I89" s="56">
        <f t="shared" si="26"/>
        <v>-119.2</v>
      </c>
      <c r="J89" s="56">
        <f t="shared" si="27"/>
        <v>31.885714285714283</v>
      </c>
      <c r="K89" s="56">
        <f>F89-81.2</f>
        <v>-25.400000000000006</v>
      </c>
      <c r="L89" s="135">
        <f>F89/81.2</f>
        <v>0.687192118226601</v>
      </c>
      <c r="M89" s="40">
        <f>E89-травень!E89</f>
        <v>15</v>
      </c>
      <c r="N89" s="40">
        <f>F89-травень!F89</f>
        <v>8.709999999999994</v>
      </c>
      <c r="O89" s="53">
        <f t="shared" si="28"/>
        <v>-6.290000000000006</v>
      </c>
      <c r="P89" s="56">
        <f>N89/M89*100</f>
        <v>58.06666666666662</v>
      </c>
      <c r="Q89" s="56">
        <f>N89-7.8</f>
        <v>0.9099999999999939</v>
      </c>
      <c r="R89" s="135">
        <f>N89/7.8</f>
        <v>1.1166666666666658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390.8</v>
      </c>
      <c r="G96" s="49">
        <f t="shared" si="31"/>
        <v>-83.69999999999999</v>
      </c>
      <c r="H96" s="40">
        <f>F96/E96*100</f>
        <v>82.36037934668073</v>
      </c>
      <c r="I96" s="56">
        <f t="shared" si="32"/>
        <v>-809.2</v>
      </c>
      <c r="J96" s="56">
        <f>F96/D96*100</f>
        <v>32.56666666666666</v>
      </c>
      <c r="K96" s="56">
        <f>F96-463.2</f>
        <v>-72.39999999999998</v>
      </c>
      <c r="L96" s="135">
        <f>F96/463.2</f>
        <v>0.8436960276338515</v>
      </c>
      <c r="M96" s="40">
        <f>E96-травень!E96</f>
        <v>100</v>
      </c>
      <c r="N96" s="40">
        <f>F96-травень!F96</f>
        <v>39.81999999999999</v>
      </c>
      <c r="O96" s="53">
        <f t="shared" si="33"/>
        <v>-60.18000000000001</v>
      </c>
      <c r="P96" s="56">
        <f>N96/M96*100</f>
        <v>39.81999999999999</v>
      </c>
      <c r="Q96" s="56">
        <f>N96-89.2</f>
        <v>-49.38000000000001</v>
      </c>
      <c r="R96" s="135">
        <f>N96/89.2</f>
        <v>0.4464125560538116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1.36+1930.58</f>
        <v>1931.9399999999998</v>
      </c>
      <c r="G99" s="49">
        <f t="shared" si="31"/>
        <v>94.93999999999983</v>
      </c>
      <c r="H99" s="40">
        <f>F99/E99*100</f>
        <v>105.1682090364725</v>
      </c>
      <c r="I99" s="56">
        <f t="shared" si="32"/>
        <v>-2640.76</v>
      </c>
      <c r="J99" s="56">
        <f>F99/D99*100</f>
        <v>42.249436875369035</v>
      </c>
      <c r="K99" s="56">
        <f>F99-1991.7</f>
        <v>-59.76000000000022</v>
      </c>
      <c r="L99" s="135">
        <f>F99/1991.7</f>
        <v>0.9699954812471757</v>
      </c>
      <c r="M99" s="40">
        <f>E99-травень!E99</f>
        <v>330</v>
      </c>
      <c r="N99" s="40">
        <f>F99-травень!F99</f>
        <v>282.00999999999976</v>
      </c>
      <c r="O99" s="53">
        <f t="shared" si="33"/>
        <v>-47.99000000000024</v>
      </c>
      <c r="P99" s="56">
        <f>N99/M99*100</f>
        <v>85.45757575757568</v>
      </c>
      <c r="Q99" s="56">
        <f>N99-325.9</f>
        <v>-43.890000000000214</v>
      </c>
      <c r="R99" s="135">
        <f>N99/325.9</f>
        <v>0.8653267873580847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356.9</v>
      </c>
      <c r="G102" s="144"/>
      <c r="H102" s="146"/>
      <c r="I102" s="145"/>
      <c r="J102" s="145"/>
      <c r="K102" s="148">
        <f>F102-244.8</f>
        <v>112.09999999999997</v>
      </c>
      <c r="L102" s="149">
        <f>F102/244.8</f>
        <v>1.4579248366013071</v>
      </c>
      <c r="M102" s="40">
        <f>E102-травень!E102</f>
        <v>0</v>
      </c>
      <c r="N102" s="40">
        <f>F102-травень!F102</f>
        <v>65.69999999999999</v>
      </c>
      <c r="O102" s="53"/>
      <c r="P102" s="60"/>
      <c r="Q102" s="60">
        <f>N102-60.1</f>
        <v>5.599999999999987</v>
      </c>
      <c r="R102" s="138">
        <f>N102/60.1</f>
        <v>1.093178036605657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-53.64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11.86</v>
      </c>
      <c r="G104" s="49">
        <f>F104-E104</f>
        <v>-3.34</v>
      </c>
      <c r="H104" s="40">
        <f>F104/E104*100</f>
        <v>78.02631578947368</v>
      </c>
      <c r="I104" s="56">
        <f t="shared" si="34"/>
        <v>-33.14</v>
      </c>
      <c r="J104" s="56">
        <f aca="true" t="shared" si="36" ref="J104:J109">F104/D104*100</f>
        <v>26.355555555555554</v>
      </c>
      <c r="K104" s="56">
        <f>F104-13.4</f>
        <v>-1.540000000000001</v>
      </c>
      <c r="L104" s="135">
        <f>F104/13.4</f>
        <v>0.8850746268656716</v>
      </c>
      <c r="M104" s="40">
        <f>E104-травень!E104</f>
        <v>3</v>
      </c>
      <c r="N104" s="40">
        <f>F104-травень!F104</f>
        <v>0.1899999999999995</v>
      </c>
      <c r="O104" s="53">
        <f t="shared" si="35"/>
        <v>-2.8100000000000005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0.08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0.04</v>
      </c>
      <c r="O105" s="53">
        <f t="shared" si="35"/>
        <v>0.04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213536.68999999997</v>
      </c>
      <c r="G106" s="50">
        <f>F106-E106</f>
        <v>-27173.540000000037</v>
      </c>
      <c r="H106" s="51">
        <f>F106/E106*100</f>
        <v>88.71109881786077</v>
      </c>
      <c r="I106" s="36">
        <f t="shared" si="34"/>
        <v>-293342.91000000003</v>
      </c>
      <c r="J106" s="36">
        <f t="shared" si="36"/>
        <v>42.1276946241277</v>
      </c>
      <c r="K106" s="36">
        <f>F106-237104</f>
        <v>-23567.310000000027</v>
      </c>
      <c r="L106" s="136">
        <f>F106/237104</f>
        <v>0.9006034904514474</v>
      </c>
      <c r="M106" s="22">
        <f>M8+M74+M104+M105</f>
        <v>43098.97</v>
      </c>
      <c r="N106" s="22">
        <f>N8+N74+N104+N105</f>
        <v>23371.490000000016</v>
      </c>
      <c r="O106" s="55">
        <f t="shared" si="35"/>
        <v>-19727.479999999985</v>
      </c>
      <c r="P106" s="36">
        <f>N106/M106*100</f>
        <v>54.227490819386205</v>
      </c>
      <c r="Q106" s="36">
        <f>N106-42414.8</f>
        <v>-19043.309999999987</v>
      </c>
      <c r="R106" s="136">
        <f>N106/42414.8</f>
        <v>0.5510220489074572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169526.94</v>
      </c>
      <c r="G107" s="71">
        <f>G10-G18+G96</f>
        <v>-21493.859999999975</v>
      </c>
      <c r="H107" s="72">
        <f>F107/E107*100</f>
        <v>88.74789551713741</v>
      </c>
      <c r="I107" s="52">
        <f t="shared" si="34"/>
        <v>-218686.26</v>
      </c>
      <c r="J107" s="52">
        <f t="shared" si="36"/>
        <v>43.66851513549771</v>
      </c>
      <c r="K107" s="52">
        <f>F107-179685.8</f>
        <v>-10158.859999999986</v>
      </c>
      <c r="L107" s="137">
        <f>F107/179685.8</f>
        <v>0.9434632007648908</v>
      </c>
      <c r="M107" s="71">
        <f>M10-M18+M96</f>
        <v>34534.5</v>
      </c>
      <c r="N107" s="71">
        <f>N10-N18+N96</f>
        <v>20415.81000000002</v>
      </c>
      <c r="O107" s="53">
        <f t="shared" si="35"/>
        <v>-14118.68999999998</v>
      </c>
      <c r="P107" s="52">
        <f>N107/M107*100</f>
        <v>59.11714372583944</v>
      </c>
      <c r="Q107" s="52">
        <f>N107-33396.9</f>
        <v>-12981.089999999982</v>
      </c>
      <c r="R107" s="137">
        <f>N107/33396.9</f>
        <v>0.6113085346244717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44009.74999999997</v>
      </c>
      <c r="G108" s="62">
        <f>F108-E108</f>
        <v>-5679.680000000051</v>
      </c>
      <c r="H108" s="72">
        <f>F108/E108*100</f>
        <v>88.56964147103308</v>
      </c>
      <c r="I108" s="52">
        <f t="shared" si="34"/>
        <v>-74656.65</v>
      </c>
      <c r="J108" s="52">
        <f t="shared" si="36"/>
        <v>37.08695131899171</v>
      </c>
      <c r="K108" s="52">
        <f>F108-57418.1</f>
        <v>-13408.350000000028</v>
      </c>
      <c r="L108" s="137">
        <f>F108/57418.1</f>
        <v>0.7664786887758385</v>
      </c>
      <c r="M108" s="71">
        <f>M106-M107</f>
        <v>8564.470000000001</v>
      </c>
      <c r="N108" s="71">
        <f>N106-N107</f>
        <v>2955.6799999999967</v>
      </c>
      <c r="O108" s="53">
        <f t="shared" si="35"/>
        <v>-5608.7900000000045</v>
      </c>
      <c r="P108" s="52">
        <f>N108/M108*100</f>
        <v>34.510950473292525</v>
      </c>
      <c r="Q108" s="52">
        <f>N108-9017.9</f>
        <v>-6062.220000000003</v>
      </c>
      <c r="R108" s="137">
        <f>N108/9017.9</f>
        <v>0.3277570166003168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169526.94</v>
      </c>
      <c r="G109" s="111">
        <f>F109-E109</f>
        <v>-16123.959999999992</v>
      </c>
      <c r="H109" s="72">
        <f>F109/E109*100</f>
        <v>91.31490340203038</v>
      </c>
      <c r="I109" s="81">
        <f t="shared" si="34"/>
        <v>-218686.26</v>
      </c>
      <c r="J109" s="52">
        <f t="shared" si="36"/>
        <v>43.66851513549771</v>
      </c>
      <c r="K109" s="52"/>
      <c r="L109" s="137"/>
      <c r="M109" s="72">
        <f>E109-травень!E109</f>
        <v>34534.5</v>
      </c>
      <c r="N109" s="71">
        <f>N107</f>
        <v>20415.81000000002</v>
      </c>
      <c r="O109" s="118">
        <f t="shared" si="35"/>
        <v>-14118.68999999998</v>
      </c>
      <c r="P109" s="52">
        <f>N109/M109*100</f>
        <v>59.11714372583944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555.89</v>
      </c>
      <c r="G114" s="49">
        <f t="shared" si="37"/>
        <v>-1141.21</v>
      </c>
      <c r="H114" s="40">
        <f aca="true" t="shared" si="39" ref="H114:H125">F114/E114*100</f>
        <v>32.75528843320959</v>
      </c>
      <c r="I114" s="60">
        <f t="shared" si="38"/>
        <v>-3115.61</v>
      </c>
      <c r="J114" s="60">
        <f aca="true" t="shared" si="40" ref="J114:J120">F114/D114*100</f>
        <v>15.140678196922238</v>
      </c>
      <c r="K114" s="60">
        <f>F114-1891.5</f>
        <v>-1335.6100000000001</v>
      </c>
      <c r="L114" s="138">
        <f>F114/1891.5</f>
        <v>0.293888448321438</v>
      </c>
      <c r="M114" s="40">
        <f>E114-травень!E114</f>
        <v>327.5</v>
      </c>
      <c r="N114" s="40">
        <f>F114-травень!F114</f>
        <v>56.129999999999995</v>
      </c>
      <c r="O114" s="53">
        <f aca="true" t="shared" si="41" ref="O114:O125">N114-M114</f>
        <v>-271.37</v>
      </c>
      <c r="P114" s="60">
        <f>N114/M114*100</f>
        <v>17.138931297709924</v>
      </c>
      <c r="Q114" s="60">
        <f>N114-276.6</f>
        <v>-220.47000000000003</v>
      </c>
      <c r="R114" s="138">
        <f>N114/276.6</f>
        <v>0.20292841648590018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158.16</v>
      </c>
      <c r="G115" s="49">
        <f t="shared" si="37"/>
        <v>23.659999999999997</v>
      </c>
      <c r="H115" s="40">
        <f t="shared" si="39"/>
        <v>117.59107806691449</v>
      </c>
      <c r="I115" s="60">
        <f t="shared" si="38"/>
        <v>-109.94000000000003</v>
      </c>
      <c r="J115" s="60">
        <f t="shared" si="40"/>
        <v>58.9929130921298</v>
      </c>
      <c r="K115" s="60">
        <f>F115-131.2</f>
        <v>26.960000000000008</v>
      </c>
      <c r="L115" s="138">
        <f>F115/131.2</f>
        <v>1.2054878048780489</v>
      </c>
      <c r="M115" s="40">
        <f>E115-травень!E115</f>
        <v>22</v>
      </c>
      <c r="N115" s="40">
        <f>F115-травень!F115</f>
        <v>38.61999999999999</v>
      </c>
      <c r="O115" s="53">
        <f t="shared" si="41"/>
        <v>16.61999999999999</v>
      </c>
      <c r="P115" s="60">
        <f>N115/M115*100</f>
        <v>175.5454545454545</v>
      </c>
      <c r="Q115" s="60">
        <f>N115-25.8</f>
        <v>12.81999999999999</v>
      </c>
      <c r="R115" s="138">
        <f>N115/25.8</f>
        <v>1.4968992248062012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712.91</v>
      </c>
      <c r="G116" s="62">
        <f t="shared" si="37"/>
        <v>-1118.69</v>
      </c>
      <c r="H116" s="72">
        <f t="shared" si="39"/>
        <v>38.92279973793405</v>
      </c>
      <c r="I116" s="61">
        <f t="shared" si="38"/>
        <v>-3226.69</v>
      </c>
      <c r="J116" s="61">
        <f t="shared" si="40"/>
        <v>18.095999593867397</v>
      </c>
      <c r="K116" s="61">
        <f>F116-2030.5</f>
        <v>-1317.5900000000001</v>
      </c>
      <c r="L116" s="139">
        <f>F116/2030.5</f>
        <v>0.35110071410982513</v>
      </c>
      <c r="M116" s="62">
        <f>M114+M115+M113</f>
        <v>349.5</v>
      </c>
      <c r="N116" s="38">
        <f>SUM(N113:N115)</f>
        <v>94.74999999999999</v>
      </c>
      <c r="O116" s="61">
        <f t="shared" si="41"/>
        <v>-254.75</v>
      </c>
      <c r="P116" s="61">
        <f>N116/M116*100</f>
        <v>27.11015736766809</v>
      </c>
      <c r="Q116" s="61">
        <f>N116-303.5</f>
        <v>-208.75</v>
      </c>
      <c r="R116" s="139">
        <f>N116/303.5</f>
        <v>0.3121911037891268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133.76</v>
      </c>
      <c r="G118" s="49">
        <f t="shared" si="37"/>
        <v>24.25999999999999</v>
      </c>
      <c r="H118" s="40">
        <f t="shared" si="39"/>
        <v>122.1552511415525</v>
      </c>
      <c r="I118" s="60">
        <f t="shared" si="38"/>
        <v>-133.44</v>
      </c>
      <c r="J118" s="60">
        <f t="shared" si="40"/>
        <v>50.05988023952096</v>
      </c>
      <c r="K118" s="60">
        <f>F118-95.9</f>
        <v>37.859999999999985</v>
      </c>
      <c r="L118" s="138">
        <f>F118/95.9</f>
        <v>1.3947862356621479</v>
      </c>
      <c r="M118" s="40">
        <f>E118-травень!E118</f>
        <v>3</v>
      </c>
      <c r="N118" s="40">
        <f>F118-травень!F118</f>
        <v>4.009999999999991</v>
      </c>
      <c r="O118" s="53">
        <f>N118-M118</f>
        <v>1.009999999999991</v>
      </c>
      <c r="P118" s="60">
        <f>N118/M118*100</f>
        <v>133.66666666666634</v>
      </c>
      <c r="Q118" s="60">
        <f>N118-7.4</f>
        <v>-3.3900000000000095</v>
      </c>
      <c r="R118" s="138">
        <f>N118/7.4</f>
        <v>0.5418918918918907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37325.46</v>
      </c>
      <c r="G119" s="49">
        <f t="shared" si="37"/>
        <v>3112.8600000000006</v>
      </c>
      <c r="H119" s="40">
        <f t="shared" si="39"/>
        <v>109.09857771698145</v>
      </c>
      <c r="I119" s="53">
        <f t="shared" si="38"/>
        <v>-34650.530000000006</v>
      </c>
      <c r="J119" s="60">
        <f t="shared" si="40"/>
        <v>51.858209939175545</v>
      </c>
      <c r="K119" s="60">
        <f>F119-32510.8</f>
        <v>4814.66</v>
      </c>
      <c r="L119" s="138">
        <f>F119/32510.8</f>
        <v>1.1480941717829152</v>
      </c>
      <c r="M119" s="40">
        <f>E119-травень!E119</f>
        <v>2600</v>
      </c>
      <c r="N119" s="40">
        <f>F119-травень!F119</f>
        <v>2151.239999999998</v>
      </c>
      <c r="O119" s="53">
        <f t="shared" si="41"/>
        <v>-448.76000000000204</v>
      </c>
      <c r="P119" s="60">
        <f aca="true" t="shared" si="42" ref="P119:P124">N119/M119*100</f>
        <v>82.73999999999992</v>
      </c>
      <c r="Q119" s="60">
        <v>2488.2</v>
      </c>
      <c r="R119" s="138">
        <f>N119/2488.2</f>
        <v>0.8645768025078362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1658.92</v>
      </c>
      <c r="G120" s="49">
        <f t="shared" si="37"/>
        <v>-8.079999999999927</v>
      </c>
      <c r="H120" s="40">
        <f t="shared" si="39"/>
        <v>99.51529694061189</v>
      </c>
      <c r="I120" s="60">
        <f t="shared" si="38"/>
        <v>-8341.08</v>
      </c>
      <c r="J120" s="60">
        <f t="shared" si="40"/>
        <v>16.5892</v>
      </c>
      <c r="K120" s="60">
        <f>F120-624.6</f>
        <v>1034.3200000000002</v>
      </c>
      <c r="L120" s="138">
        <f>F120/624.6</f>
        <v>2.6559718219660584</v>
      </c>
      <c r="M120" s="40">
        <f>E120-травень!E120</f>
        <v>19</v>
      </c>
      <c r="N120" s="40">
        <f>F120-травень!F120</f>
        <v>46.99000000000001</v>
      </c>
      <c r="O120" s="53">
        <f t="shared" si="41"/>
        <v>27.99000000000001</v>
      </c>
      <c r="P120" s="60">
        <f t="shared" si="42"/>
        <v>247.31578947368425</v>
      </c>
      <c r="Q120" s="60">
        <f>N120-188.5</f>
        <v>-141.51</v>
      </c>
      <c r="R120" s="138">
        <f>N120/188.5</f>
        <v>0.24928381962864726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2099.7</v>
      </c>
      <c r="G121" s="49">
        <f t="shared" si="37"/>
        <v>-2722.9000000000005</v>
      </c>
      <c r="H121" s="40">
        <f t="shared" si="39"/>
        <v>43.538755028407905</v>
      </c>
      <c r="I121" s="60">
        <f t="shared" si="38"/>
        <v>-20978.3</v>
      </c>
      <c r="J121" s="60">
        <f>F121/D121*100</f>
        <v>9.09827541381402</v>
      </c>
      <c r="K121" s="60">
        <f>F121-13847.9</f>
        <v>-11748.2</v>
      </c>
      <c r="L121" s="138">
        <f>F121/13847.9</f>
        <v>0.15162587829201538</v>
      </c>
      <c r="M121" s="40">
        <f>E121-травень!E121</f>
        <v>1767.2000000000003</v>
      </c>
      <c r="N121" s="40">
        <f>F121-травень!F121</f>
        <v>28.949999999999818</v>
      </c>
      <c r="O121" s="53">
        <f t="shared" si="41"/>
        <v>-1738.2500000000005</v>
      </c>
      <c r="P121" s="60">
        <f t="shared" si="42"/>
        <v>1.6381846989587945</v>
      </c>
      <c r="Q121" s="60">
        <f>N121-6379.2</f>
        <v>-6350.25</v>
      </c>
      <c r="R121" s="138">
        <f>N121/6379.2</f>
        <v>0.004538186606471002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701.76</v>
      </c>
      <c r="G122" s="49">
        <f t="shared" si="37"/>
        <v>-160.69000000000005</v>
      </c>
      <c r="H122" s="40">
        <f t="shared" si="39"/>
        <v>81.3681952576961</v>
      </c>
      <c r="I122" s="60">
        <f t="shared" si="38"/>
        <v>-1298.24</v>
      </c>
      <c r="J122" s="60">
        <f>F122/D122*100</f>
        <v>35.087999999999994</v>
      </c>
      <c r="K122" s="60">
        <f>F122-1200</f>
        <v>-498.24</v>
      </c>
      <c r="L122" s="138">
        <f>F122/1200</f>
        <v>0.5848</v>
      </c>
      <c r="M122" s="40">
        <f>E122-травень!E122</f>
        <v>189.59000000000003</v>
      </c>
      <c r="N122" s="40">
        <f>F122-травень!F122</f>
        <v>0.9700000000000273</v>
      </c>
      <c r="O122" s="53">
        <f t="shared" si="41"/>
        <v>-188.62</v>
      </c>
      <c r="P122" s="60">
        <f t="shared" si="42"/>
        <v>0.5116303602510824</v>
      </c>
      <c r="Q122" s="60">
        <f>N122-0</f>
        <v>0.9700000000000273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41919.6</v>
      </c>
      <c r="G123" s="62">
        <f t="shared" si="37"/>
        <v>245.45000000000437</v>
      </c>
      <c r="H123" s="72">
        <f t="shared" si="39"/>
        <v>100.58897422023006</v>
      </c>
      <c r="I123" s="61">
        <f t="shared" si="38"/>
        <v>-65401.590000000004</v>
      </c>
      <c r="J123" s="61">
        <f>F123/D123*100</f>
        <v>39.0599470617126</v>
      </c>
      <c r="K123" s="61">
        <f>F123-48279.1</f>
        <v>-6359.5</v>
      </c>
      <c r="L123" s="139">
        <f>F123/48279.1</f>
        <v>0.8682763348943953</v>
      </c>
      <c r="M123" s="62">
        <f>M119+M120+M121+M122+M118</f>
        <v>4578.790000000001</v>
      </c>
      <c r="N123" s="62">
        <f>N119+N120+N121+N122+N118</f>
        <v>2232.159999999998</v>
      </c>
      <c r="O123" s="61">
        <f t="shared" si="41"/>
        <v>-2346.630000000003</v>
      </c>
      <c r="P123" s="61">
        <f t="shared" si="42"/>
        <v>48.74999727002107</v>
      </c>
      <c r="Q123" s="61">
        <f>N123-9063.3</f>
        <v>-6831.140000000001</v>
      </c>
      <c r="R123" s="139">
        <f>N123/9063.3</f>
        <v>0.2462855692738846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12.71</v>
      </c>
      <c r="G124" s="49">
        <f t="shared" si="37"/>
        <v>-4.449999999999999</v>
      </c>
      <c r="H124" s="40">
        <f t="shared" si="39"/>
        <v>74.06759906759908</v>
      </c>
      <c r="I124" s="60">
        <f t="shared" si="38"/>
        <v>-30.79</v>
      </c>
      <c r="J124" s="60">
        <f>F124/D124*100</f>
        <v>29.218390804597703</v>
      </c>
      <c r="K124" s="60">
        <f>F124-100.8</f>
        <v>-88.09</v>
      </c>
      <c r="L124" s="138">
        <f>F124/100.8</f>
        <v>0.12609126984126987</v>
      </c>
      <c r="M124" s="40">
        <f>E124-травень!E124</f>
        <v>3</v>
      </c>
      <c r="N124" s="40">
        <f>F124-травень!F124</f>
        <v>2</v>
      </c>
      <c r="O124" s="53">
        <f t="shared" si="41"/>
        <v>-1</v>
      </c>
      <c r="P124" s="60">
        <f t="shared" si="42"/>
        <v>66.66666666666666</v>
      </c>
      <c r="Q124" s="60">
        <f>N124-1.6</f>
        <v>0.3999999999999999</v>
      </c>
      <c r="R124" s="138">
        <f>N124/1.6</f>
        <v>1.25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5294.24</v>
      </c>
      <c r="G127" s="49">
        <f aca="true" t="shared" si="43" ref="G127:G134">F127-E127</f>
        <v>281.7399999999998</v>
      </c>
      <c r="H127" s="40">
        <f>F127/E127*100</f>
        <v>105.62074812967582</v>
      </c>
      <c r="I127" s="60">
        <f aca="true" t="shared" si="44" ref="I127:I134">F127-D127</f>
        <v>-3405.76</v>
      </c>
      <c r="J127" s="60">
        <f>F127/D127*100</f>
        <v>60.853333333333325</v>
      </c>
      <c r="K127" s="60">
        <f>F127-6301.4</f>
        <v>-1007.1599999999999</v>
      </c>
      <c r="L127" s="138">
        <f>F127/6301.4</f>
        <v>0.840168851366363</v>
      </c>
      <c r="M127" s="40">
        <f>E127-травень!E127</f>
        <v>1</v>
      </c>
      <c r="N127" s="40">
        <f>F127-травень!F127</f>
        <v>1.3800000000001091</v>
      </c>
      <c r="O127" s="53">
        <f aca="true" t="shared" si="45" ref="O127:O134">N127-M127</f>
        <v>0.38000000000010914</v>
      </c>
      <c r="P127" s="60">
        <f>N127/M127*100</f>
        <v>138.0000000000109</v>
      </c>
      <c r="Q127" s="60">
        <f>N127-12.3</f>
        <v>-10.919999999999892</v>
      </c>
      <c r="R127" s="162">
        <f>N127/12.3</f>
        <v>0.11219512195122838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5324.75</v>
      </c>
      <c r="G129" s="62">
        <f t="shared" si="43"/>
        <v>287.8900000000003</v>
      </c>
      <c r="H129" s="72">
        <f>F129/E129*100</f>
        <v>105.7156641240773</v>
      </c>
      <c r="I129" s="61">
        <f t="shared" si="44"/>
        <v>-3425.9500000000007</v>
      </c>
      <c r="J129" s="61">
        <f>F129/D129*100</f>
        <v>60.849417760864846</v>
      </c>
      <c r="K129" s="61">
        <f>F129-6410.2</f>
        <v>-1085.4499999999998</v>
      </c>
      <c r="L129" s="139">
        <f>G129/6410.2</f>
        <v>0.04491123521886998</v>
      </c>
      <c r="M129" s="62">
        <f>M124+M127+M128+M126</f>
        <v>4</v>
      </c>
      <c r="N129" s="62">
        <f>N124+N127+N128+N126</f>
        <v>3.380000000000109</v>
      </c>
      <c r="O129" s="61">
        <f t="shared" si="45"/>
        <v>-0.6199999999998909</v>
      </c>
      <c r="P129" s="61">
        <f>N129/M129*100</f>
        <v>84.50000000000273</v>
      </c>
      <c r="Q129" s="61">
        <f>N129-14</f>
        <v>-10.61999999999989</v>
      </c>
      <c r="R129" s="137">
        <f>N129/14</f>
        <v>0.24142857142857924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14.27</v>
      </c>
      <c r="G130" s="49">
        <f>F130-E130</f>
        <v>-1.3800000000000008</v>
      </c>
      <c r="H130" s="40">
        <f>F130/E130*100</f>
        <v>91.18210862619807</v>
      </c>
      <c r="I130" s="60">
        <f>F130-D130</f>
        <v>-15.73</v>
      </c>
      <c r="J130" s="60">
        <f>F130/D130*100</f>
        <v>47.56666666666666</v>
      </c>
      <c r="K130" s="60">
        <f>F130-16.8</f>
        <v>-2.530000000000001</v>
      </c>
      <c r="L130" s="138">
        <f>F130/16.8</f>
        <v>0.8494047619047619</v>
      </c>
      <c r="M130" s="40">
        <f>E130-травень!E130</f>
        <v>7</v>
      </c>
      <c r="N130" s="40">
        <f>F130-травень!F130</f>
        <v>1.1199999999999992</v>
      </c>
      <c r="O130" s="53">
        <f>N130-M130</f>
        <v>-5.880000000000001</v>
      </c>
      <c r="P130" s="60">
        <f>N130/M130*100</f>
        <v>15.99999999999999</v>
      </c>
      <c r="Q130" s="60">
        <f>N130-7.5</f>
        <v>-6.380000000000001</v>
      </c>
      <c r="R130" s="138">
        <f>N130/7.5</f>
        <v>0.14933333333333323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47971.53</v>
      </c>
      <c r="G133" s="50">
        <f t="shared" si="43"/>
        <v>-586.7299999999959</v>
      </c>
      <c r="H133" s="51">
        <f>F133/E133*100</f>
        <v>98.79169887883134</v>
      </c>
      <c r="I133" s="36">
        <f t="shared" si="44"/>
        <v>-72069.96</v>
      </c>
      <c r="J133" s="36">
        <f>F133/D133*100</f>
        <v>39.96245798015336</v>
      </c>
      <c r="K133" s="36">
        <f>F133-56736.6</f>
        <v>-8765.07</v>
      </c>
      <c r="L133" s="136">
        <f>F133/56736.6</f>
        <v>0.8455129493131418</v>
      </c>
      <c r="M133" s="31">
        <f>M116+M130+M123+M129+M132+M131</f>
        <v>4939.290000000001</v>
      </c>
      <c r="N133" s="31">
        <f>N116+N130+N123+N129+N132+N131</f>
        <v>2331.409999999998</v>
      </c>
      <c r="O133" s="36">
        <f t="shared" si="45"/>
        <v>-2607.880000000003</v>
      </c>
      <c r="P133" s="36">
        <f>N133/M133*100</f>
        <v>47.201318408111234</v>
      </c>
      <c r="Q133" s="36">
        <f>N133-9388.2</f>
        <v>-7056.790000000003</v>
      </c>
      <c r="R133" s="136">
        <f>N133/9388.2</f>
        <v>0.24833407895017126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261508.21999999997</v>
      </c>
      <c r="G134" s="50">
        <f t="shared" si="43"/>
        <v>-27760.27000000002</v>
      </c>
      <c r="H134" s="51">
        <f>F134/E134*100</f>
        <v>90.40328588848374</v>
      </c>
      <c r="I134" s="36">
        <f t="shared" si="44"/>
        <v>-365412.87</v>
      </c>
      <c r="J134" s="36">
        <f>F134/D134*100</f>
        <v>41.71309980973842</v>
      </c>
      <c r="K134" s="36">
        <f>F134-293840.6</f>
        <v>-32332.380000000005</v>
      </c>
      <c r="L134" s="136">
        <f>F134/293840.6</f>
        <v>0.8899662606188525</v>
      </c>
      <c r="M134" s="22">
        <f>M106+M133</f>
        <v>48038.26</v>
      </c>
      <c r="N134" s="22">
        <f>N106+N133</f>
        <v>25702.900000000016</v>
      </c>
      <c r="O134" s="36">
        <f t="shared" si="45"/>
        <v>-22335.359999999986</v>
      </c>
      <c r="P134" s="36">
        <f>N134/M134*100</f>
        <v>53.50506034148618</v>
      </c>
      <c r="Q134" s="36">
        <f>N134-51803</f>
        <v>-26100.099999999984</v>
      </c>
      <c r="R134" s="136">
        <f>N134/51803</f>
        <v>0.49616624519815483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6</v>
      </c>
      <c r="D136" s="4" t="s">
        <v>118</v>
      </c>
    </row>
    <row r="137" spans="2:17" ht="31.5">
      <c r="B137" s="78" t="s">
        <v>154</v>
      </c>
      <c r="C137" s="39">
        <f>IF(O106&lt;0,ABS(O106/C136),0)</f>
        <v>3287.9133333333307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41809</v>
      </c>
      <c r="D138" s="39">
        <v>1690.3</v>
      </c>
      <c r="N138" s="177"/>
      <c r="O138" s="177"/>
    </row>
    <row r="139" spans="3:15" ht="15.75">
      <c r="C139" s="120">
        <v>41808</v>
      </c>
      <c r="D139" s="39">
        <v>1335.5</v>
      </c>
      <c r="F139" s="4" t="s">
        <v>166</v>
      </c>
      <c r="G139" s="173" t="s">
        <v>151</v>
      </c>
      <c r="H139" s="173"/>
      <c r="I139" s="115">
        <f>'[1]залишки  (2)'!$G$9/1000</f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41807</v>
      </c>
      <c r="D140" s="39">
        <v>774.4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f>'[1]залишки  (2)'!$G$6/1000</f>
        <v>119509.56546</v>
      </c>
      <c r="E142" s="80"/>
      <c r="F142" s="100" t="s">
        <v>147</v>
      </c>
      <c r="G142" s="173" t="s">
        <v>149</v>
      </c>
      <c r="H142" s="173"/>
      <c r="I142" s="116">
        <f>'[1]залишки  (2)'!$G$10/1000</f>
        <v>105684.3435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32862.57429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1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7" sqref="E12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5"/>
      <c r="L5" s="166"/>
      <c r="M5" s="151" t="s">
        <v>232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5"/>
      <c r="L5" s="166"/>
      <c r="M5" s="151" t="s">
        <v>220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32862.57429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5"/>
      <c r="L5" s="166"/>
      <c r="M5" s="151" t="s">
        <v>211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184</v>
      </c>
      <c r="L5" s="166"/>
      <c r="M5" s="219"/>
      <c r="N5" s="182"/>
      <c r="O5" s="209"/>
      <c r="P5" s="210"/>
      <c r="Q5" s="165" t="s">
        <v>199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177</v>
      </c>
      <c r="L5" s="166"/>
      <c r="M5" s="190"/>
      <c r="N5" s="182"/>
      <c r="O5" s="209"/>
      <c r="P5" s="210"/>
      <c r="Q5" s="165" t="s">
        <v>179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2014-06-19T07:13:10Z</cp:lastPrinted>
  <dcterms:created xsi:type="dcterms:W3CDTF">2003-07-28T11:27:56Z</dcterms:created>
  <dcterms:modified xsi:type="dcterms:W3CDTF">2014-06-20T11:36:44Z</dcterms:modified>
  <cp:category/>
  <cp:version/>
  <cp:contentType/>
  <cp:contentStatus/>
</cp:coreProperties>
</file>